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210"/>
  <workbookPr/>
  <mc:AlternateContent xmlns:mc="http://schemas.openxmlformats.org/markup-compatibility/2006">
    <mc:Choice Requires="x15">
      <x15ac:absPath xmlns:x15ac="http://schemas.microsoft.com/office/spreadsheetml/2010/11/ac" url="/Users/macbookpro/Desktop/"/>
    </mc:Choice>
  </mc:AlternateContent>
  <xr:revisionPtr revIDLastSave="0" documentId="13_ncr:1_{8CEC82DD-CA31-EE40-A76B-3681D1807B57}" xr6:coauthVersionLast="47" xr6:coauthVersionMax="47" xr10:uidLastSave="{00000000-0000-0000-0000-000000000000}"/>
  <bookViews>
    <workbookView xWindow="9660" yWindow="500" windowWidth="17040" windowHeight="16280" tabRatio="886" activeTab="1" xr2:uid="{00000000-000D-0000-FFFF-FFFF00000000}"/>
  </bookViews>
  <sheets>
    <sheet name="Apoio Administrativo Nível II" sheetId="31" r:id="rId1"/>
    <sheet name="Proposta Comercial" sheetId="2" r:id="rId2"/>
  </sheets>
  <definedNames>
    <definedName name="_xlnm.Print_Area" localSheetId="0">'Apoio Administrativo Nível II'!$B$2:$E$119</definedName>
    <definedName name="_xlnm.Print_Area" localSheetId="1">'Proposta Comercial'!$B$2:$H$9</definedName>
    <definedName name="_xlnm.Print_Titles" localSheetId="0">'Apoio Administrativo Nível II'!$1:$2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76" i="31" l="1"/>
  <c r="E77" i="31"/>
  <c r="D106" i="31" l="1"/>
  <c r="E106" i="31" s="1"/>
  <c r="D107" i="31" s="1"/>
  <c r="D105" i="31"/>
  <c r="E89" i="31"/>
  <c r="E113" i="31" s="1"/>
  <c r="E84" i="31"/>
  <c r="E112" i="31" s="1"/>
  <c r="D29" i="31"/>
  <c r="E18" i="31"/>
  <c r="E23" i="31" s="1"/>
  <c r="E25" i="31" l="1"/>
  <c r="E27" i="31"/>
  <c r="E44" i="31"/>
  <c r="D44" i="31" s="1"/>
  <c r="D60" i="31"/>
  <c r="D71" i="31"/>
  <c r="E48" i="31"/>
  <c r="E56" i="31"/>
  <c r="D56" i="31" s="1"/>
  <c r="E21" i="31"/>
  <c r="E26" i="31"/>
  <c r="E55" i="31"/>
  <c r="E51" i="31"/>
  <c r="D51" i="31" s="1"/>
  <c r="E57" i="31"/>
  <c r="D57" i="31" s="1"/>
  <c r="E22" i="31"/>
  <c r="E39" i="31"/>
  <c r="E32" i="31"/>
  <c r="E24" i="31"/>
  <c r="E28" i="31"/>
  <c r="D55" i="31"/>
  <c r="E47" i="31"/>
  <c r="D47" i="31" s="1"/>
  <c r="E59" i="31"/>
  <c r="D59" i="31" s="1"/>
  <c r="E110" i="31"/>
  <c r="E33" i="31"/>
  <c r="D33" i="31" s="1"/>
  <c r="E58" i="31"/>
  <c r="D58" i="31" s="1"/>
  <c r="E45" i="31" l="1"/>
  <c r="D45" i="31" s="1"/>
  <c r="D48" i="31"/>
  <c r="E49" i="31"/>
  <c r="D49" i="31" s="1"/>
  <c r="E29" i="31"/>
  <c r="E66" i="31" s="1"/>
  <c r="D66" i="31" s="1"/>
  <c r="D32" i="31"/>
  <c r="E34" i="31"/>
  <c r="E61" i="31"/>
  <c r="D39" i="31"/>
  <c r="E40" i="31"/>
  <c r="D40" i="31" s="1"/>
  <c r="E52" i="31" l="1"/>
  <c r="E69" i="31" s="1"/>
  <c r="D69" i="31" s="1"/>
  <c r="D52" i="31"/>
  <c r="D34" i="31"/>
  <c r="E35" i="31"/>
  <c r="D35" i="31" s="1"/>
  <c r="D41" i="31"/>
  <c r="E41" i="31"/>
  <c r="E68" i="31" s="1"/>
  <c r="D68" i="31" s="1"/>
  <c r="E62" i="31"/>
  <c r="D62" i="31" s="1"/>
  <c r="D61" i="31"/>
  <c r="E36" i="31" l="1"/>
  <c r="E67" i="31" s="1"/>
  <c r="E63" i="31"/>
  <c r="E70" i="31" s="1"/>
  <c r="D70" i="31" s="1"/>
  <c r="D67" i="31"/>
  <c r="D63" i="31"/>
  <c r="D36" i="31"/>
  <c r="E72" i="31" l="1"/>
  <c r="D72" i="31"/>
  <c r="E111" i="31"/>
  <c r="E92" i="31"/>
  <c r="E93" i="31" s="1"/>
  <c r="E94" i="31" l="1"/>
  <c r="E114" i="31" s="1"/>
  <c r="E115" i="31" s="1"/>
  <c r="E117" i="31" l="1"/>
  <c r="E102" i="31" s="1"/>
  <c r="E100" i="31" l="1"/>
  <c r="E99" i="31"/>
  <c r="E120" i="31"/>
  <c r="E103" i="31"/>
  <c r="E119" i="31"/>
  <c r="G7" i="2" s="1"/>
  <c r="H7" i="2" s="1"/>
  <c r="H11" i="2" s="1"/>
  <c r="E104" i="31"/>
  <c r="E101" i="31"/>
  <c r="E105" i="31" l="1"/>
  <c r="E116" i="3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E87" authorId="0" shapeId="0" xr:uid="{00000000-0006-0000-0000-000001000000}">
      <text>
        <r>
          <rPr>
            <b/>
            <sz val="9"/>
            <color rgb="FF000000"/>
            <rFont val="Segoe UI"/>
            <family val="2"/>
            <charset val="1"/>
          </rPr>
          <t>Orientação: Existe uma planilha específica para a Infraestrutura do PA a qual deverá ser preenchida. O valor mensal será extraído automaticamente para este campo.</t>
        </r>
        <r>
          <rPr>
            <sz val="9"/>
            <color rgb="FF000000"/>
            <rFont val="Segoe UI"/>
            <family val="2"/>
            <charset val="1"/>
          </rPr>
          <t xml:space="preserve">
</t>
        </r>
      </text>
    </comment>
  </commentList>
</comments>
</file>

<file path=xl/sharedStrings.xml><?xml version="1.0" encoding="utf-8"?>
<sst xmlns="http://schemas.openxmlformats.org/spreadsheetml/2006/main" count="209" uniqueCount="136">
  <si>
    <t>PROFISSIONAL NÍVEL 1</t>
  </si>
  <si>
    <t>MÃO DE OBRA VINCUADA À EXECUÇÃO CONTRATUAL</t>
  </si>
  <si>
    <t>Convenção / Sindicato</t>
  </si>
  <si>
    <t>Tipo de serviço</t>
  </si>
  <si>
    <t>Salário Normativo da Categoria</t>
  </si>
  <si>
    <t>Categoria profissional</t>
  </si>
  <si>
    <t>Data base da categoria</t>
  </si>
  <si>
    <t>Local da Prestação do Serviço</t>
  </si>
  <si>
    <t>MÓDULO 1 - COMPOSIÇÃO DA REMUNERAÇÃO</t>
  </si>
  <si>
    <t>A</t>
  </si>
  <si>
    <t xml:space="preserve">Salário Base Mensal </t>
  </si>
  <si>
    <t>B</t>
  </si>
  <si>
    <t>Adicional de periculosidade</t>
  </si>
  <si>
    <t>C</t>
  </si>
  <si>
    <t>Adicional de insalubridade</t>
  </si>
  <si>
    <t>D</t>
  </si>
  <si>
    <t>Adicional noturno</t>
  </si>
  <si>
    <t>E</t>
  </si>
  <si>
    <t>Hora noturna adicional</t>
  </si>
  <si>
    <t>F</t>
  </si>
  <si>
    <t>Adicional de Hora Extra</t>
  </si>
  <si>
    <t>G</t>
  </si>
  <si>
    <t>Outros (especificar)</t>
  </si>
  <si>
    <t>Total da Remuneração</t>
  </si>
  <si>
    <t>MÓDULO 2.1 - ENCARGOS SOCIAIS</t>
  </si>
  <si>
    <t>%</t>
  </si>
  <si>
    <t>Valor (R$)</t>
  </si>
  <si>
    <t>INSS</t>
  </si>
  <si>
    <t>SESI ou SESC</t>
  </si>
  <si>
    <t>SENAI ou SENAC</t>
  </si>
  <si>
    <t>INCRA</t>
  </si>
  <si>
    <t>Salário Educação</t>
  </si>
  <si>
    <t>FGTS</t>
  </si>
  <si>
    <t>RAT Ajustado (RAT x FAP)</t>
  </si>
  <si>
    <t>H</t>
  </si>
  <si>
    <t>SEBRAE</t>
  </si>
  <si>
    <t>MÓDULO 2.2 - 13º SALÁRIO E ADICIONAL DE FÉRIAS</t>
  </si>
  <si>
    <t>13º Salário</t>
  </si>
  <si>
    <t>Adicional de Férias</t>
  </si>
  <si>
    <t>Subtotal</t>
  </si>
  <si>
    <t>Incidência do Submódulo 2.1 sobre o 13º Salário e Adicional de Férias</t>
  </si>
  <si>
    <t>Total (Subtotal + C)</t>
  </si>
  <si>
    <t>MÓDULO 2.3 - AFASTAMENTO MATERNIDADE</t>
  </si>
  <si>
    <t>Afastamento maternidade (probabilidade de ocorrência = XXXX%)</t>
  </si>
  <si>
    <t>Incidência do Submódulo 2.1 sobre o afastamento maternidade</t>
  </si>
  <si>
    <t>Total</t>
  </si>
  <si>
    <t>MÓDULO 2.4 - PROVISÃO PARA RESCISÃO</t>
  </si>
  <si>
    <t>Aviso Prévio indenizado (probabilidade de ocorrência = XXX%)</t>
  </si>
  <si>
    <t>Incidência do FGTS sobre o aviso prévio indenizado</t>
  </si>
  <si>
    <t>Multa do FGTS - em caso de aviso prévio indenizado</t>
  </si>
  <si>
    <t>-</t>
  </si>
  <si>
    <t>C.1</t>
  </si>
  <si>
    <t>Multa do FGTS (40%)  (probabilidade de ocorrência = XXX%)</t>
  </si>
  <si>
    <t>Aviso prévio trabalhado (probabilidade de ocorrência = 100%)</t>
  </si>
  <si>
    <t>Incidência do submódulo 2.1 sobre o aviso prévio trabalhado</t>
  </si>
  <si>
    <t>Multa do FGTS - em caso de aviso prévio trabalhado</t>
  </si>
  <si>
    <t>F.1</t>
  </si>
  <si>
    <t>Multa do FGTS (40%)</t>
  </si>
  <si>
    <t>MÓDULO 2.5 - CUSTOS DE REPOSIÇÃO DO PROFISSIONAL AUSENTE</t>
  </si>
  <si>
    <t>Férias (para remuneração do substituto)</t>
  </si>
  <si>
    <t>Ausência por doença (probabilidade de ocorrência = XXX faltas/ano)</t>
  </si>
  <si>
    <t>Licença paternidade (probabilidade de ocorrência = XXX%)</t>
  </si>
  <si>
    <t>Ausências legais (probabilidade de ocorrência = XXX faltas/ano)</t>
  </si>
  <si>
    <t>Ausência por acidente de trabalho (probabilidade de ocorrência = XXX faltas/ano)</t>
  </si>
  <si>
    <t>Subtotal (A + B + C + D + E + F)</t>
  </si>
  <si>
    <t>Incidência do Submódulo 2.1 sobre o custo de reposição (XXX% x Subtotal)</t>
  </si>
  <si>
    <t>MÓDULO 2 - QUADRO RESUMO</t>
  </si>
  <si>
    <t>Encargos previdenciários e FGTS</t>
  </si>
  <si>
    <t>13º salário + Adicional de férias</t>
  </si>
  <si>
    <t>Afastamento por licença maternidade</t>
  </si>
  <si>
    <t>Provisão para rescisão</t>
  </si>
  <si>
    <t>Custos de reposição do profissional ausente</t>
  </si>
  <si>
    <t>Total (submódulos 2.1 a 2.5)</t>
  </si>
  <si>
    <t>MÓDULO 3 - BENEFÍCIOS MENSAIS E DIÁRIOS</t>
  </si>
  <si>
    <t>Transporte (21,75 dias úteis; 2 vales por dia)</t>
  </si>
  <si>
    <t>Auxílio-alimentação</t>
  </si>
  <si>
    <t>Auxílio-refeição (22 dias úteis; 1 auxílio por dia; 20% de participação do funcionario)</t>
  </si>
  <si>
    <t>PLR</t>
  </si>
  <si>
    <t>Assistencia médica</t>
  </si>
  <si>
    <t>Auxilio Creche</t>
  </si>
  <si>
    <t>Seguro de vida</t>
  </si>
  <si>
    <t>Auxilio filhos excepcionais</t>
  </si>
  <si>
    <t>I</t>
  </si>
  <si>
    <t>Outros:</t>
  </si>
  <si>
    <t>Total de Benefícios Mensais e Diários</t>
  </si>
  <si>
    <t>MÓDULO 4 - INSUMOS DIVERSOS</t>
  </si>
  <si>
    <t xml:space="preserve">Infraestrutura </t>
  </si>
  <si>
    <t>Total de Insumos Diversos</t>
  </si>
  <si>
    <t>MÓDULO 5 - CUSTOS INDIRETOS E LUCRO</t>
  </si>
  <si>
    <t>Custos indiretos</t>
  </si>
  <si>
    <t>Lucro</t>
  </si>
  <si>
    <t>Total de Custos Indiretos e Lucro</t>
  </si>
  <si>
    <t xml:space="preserve">MÓDULO 6 -TRIBUTOS </t>
  </si>
  <si>
    <t>Tributos</t>
  </si>
  <si>
    <t>A.1</t>
  </si>
  <si>
    <t>Tributos Federais (especificar)</t>
  </si>
  <si>
    <t>PIS</t>
  </si>
  <si>
    <t>COFINS</t>
  </si>
  <si>
    <t>A.2</t>
  </si>
  <si>
    <t>Tributos Estaduais (especificar)</t>
  </si>
  <si>
    <t>A.3</t>
  </si>
  <si>
    <t>Tributos Municipais (especificar)</t>
  </si>
  <si>
    <t>ISS</t>
  </si>
  <si>
    <t>A.4</t>
  </si>
  <si>
    <t>Total de tributos</t>
  </si>
  <si>
    <t>soma tributos</t>
  </si>
  <si>
    <t>fator representativo</t>
  </si>
  <si>
    <t>QUADRO-RESUMO</t>
  </si>
  <si>
    <t>MÓDULO 1 - Composição da Remuneração</t>
  </si>
  <si>
    <t>MÓDULO 2 - Encargos Sociais e Trabalhistas</t>
  </si>
  <si>
    <t>MÓDULO 3 - Benefícios Mensais e Diários</t>
  </si>
  <si>
    <t xml:space="preserve">MÓDULO 4 - Insumos Diversos </t>
  </si>
  <si>
    <t>MÓDULO 5 - Custos indiretos, Lucro</t>
  </si>
  <si>
    <t xml:space="preserve">MÓDULO 6 - Tributos </t>
  </si>
  <si>
    <t>VALOR MENSAL TOTAL POR EMPREGADO</t>
  </si>
  <si>
    <t>QUANTIDADE ESTIMADA DE PROFISSIONAIS</t>
  </si>
  <si>
    <t>VALOR TOTAL MENSAL</t>
  </si>
  <si>
    <t>PROPOSTA COMERCIAL</t>
  </si>
  <si>
    <t>SERVIÇO</t>
  </si>
  <si>
    <t>QTD.  (MESES)</t>
  </si>
  <si>
    <t>UNIDADE DE MEDIDA</t>
  </si>
  <si>
    <t xml:space="preserve">VALOR TOTAL/MÊS </t>
  </si>
  <si>
    <t>Mensal</t>
  </si>
  <si>
    <t>VALOR GLOBAL</t>
  </si>
  <si>
    <t xml:space="preserve">O(s) valor(es) ora descrito(s) abarca(m) todas as despesas com materiais, mão de obra, infraestrutura, transporte, deslocamento, estadia, alimentação, seguros, impostos, taxas, tributos, incidências fiscais, contribuições de qualquer natureza ou espécie, encargos sociais, trabalhistas, salários, custos diretos e indiretos e quaisquer outras obrigações ou despesas necessárias à perfeita execução do objeto contratual. </t>
  </si>
  <si>
    <t xml:space="preserve">QTD de Profissional </t>
  </si>
  <si>
    <t xml:space="preserve">Salario </t>
  </si>
  <si>
    <t xml:space="preserve">Custo </t>
  </si>
  <si>
    <t xml:space="preserve">Lucro </t>
  </si>
  <si>
    <t xml:space="preserve">VALOR TOTAL 12 MESES </t>
  </si>
  <si>
    <t xml:space="preserve">Imposto sobre o faturamento (CPRB) </t>
  </si>
  <si>
    <t>SindPD/DF</t>
  </si>
  <si>
    <t>Apoio Administrativo Nível II</t>
  </si>
  <si>
    <r>
      <t xml:space="preserve">                                                                                                                            </t>
    </r>
    <r>
      <rPr>
        <b/>
        <sz val="10"/>
        <color theme="1"/>
        <rFont val="Calibri"/>
        <family val="2"/>
        <scheme val="minor"/>
      </rPr>
      <t xml:space="preserve">      VALOR UNITÁRIO</t>
    </r>
  </si>
  <si>
    <t>TECNICO</t>
  </si>
  <si>
    <t>BRASILIA/DF</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</si>
</sst>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R$&quot;\ * #,##0.00_-;\-&quot;R$&quot;\ * #,##0.00_-;_-&quot;R$&quot;\ * &quot;-&quot;??_-;_-@_-"/>
    <numFmt numFmtId="43" formatCode="_-* #,##0.00_-;\-* #,##0.00_-;_-* &quot;-&quot;??_-;_-@_-"/>
    <numFmt numFmtId="164" formatCode="_(&quot;R$ &quot;* #,##0.00_);_(&quot;R$ &quot;* \(#,##0.00\);_(&quot;R$ &quot;* &quot;-&quot;??_);_(@_)"/>
    <numFmt numFmtId="165" formatCode="0.0%"/>
    <numFmt numFmtId="166" formatCode="0.0000"/>
    <numFmt numFmtId="167" formatCode="_-[$R$-416]\ * #,##0.00_-;\-[$R$-416]\ * #,##0.00_-;_-[$R$-416]\ * &quot;-&quot;??_-;_-@_-"/>
  </numFmts>
  <fonts count="13"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b/>
      <sz val="10"/>
      <color theme="1"/>
      <name val="Calibri"/>
      <family val="2"/>
      <scheme val="minor"/>
    </font>
    <font>
      <sz val="10"/>
      <color theme="1"/>
      <name val="Calibri"/>
      <family val="2"/>
      <scheme val="minor"/>
    </font>
    <font>
      <b/>
      <sz val="10"/>
      <name val="Calibri"/>
      <family val="2"/>
      <scheme val="minor"/>
    </font>
    <font>
      <sz val="11"/>
      <color rgb="FF000000"/>
      <name val="Calibri"/>
      <family val="2"/>
      <scheme val="minor"/>
    </font>
    <font>
      <b/>
      <sz val="10"/>
      <color rgb="FF000000"/>
      <name val="Calibri"/>
      <family val="2"/>
      <scheme val="minor"/>
    </font>
    <font>
      <sz val="10"/>
      <name val="Calibri"/>
      <family val="2"/>
      <scheme val="minor"/>
    </font>
    <font>
      <sz val="10"/>
      <color theme="0"/>
      <name val="Calibri"/>
      <family val="2"/>
      <scheme val="minor"/>
    </font>
    <font>
      <b/>
      <sz val="9"/>
      <color rgb="FF000000"/>
      <name val="Segoe UI"/>
      <family val="2"/>
      <charset val="1"/>
    </font>
    <font>
      <sz val="9"/>
      <color rgb="FF000000"/>
      <name val="Segoe UI"/>
      <family val="2"/>
      <charset val="1"/>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26"/>
      </patternFill>
    </fill>
    <fill>
      <patternFill patternType="solid">
        <fgColor theme="0"/>
        <bgColor indexed="64"/>
      </patternFill>
    </fill>
    <fill>
      <patternFill patternType="solid">
        <fgColor rgb="FFFFFF00"/>
        <bgColor indexed="64"/>
      </patternFill>
    </fill>
    <fill>
      <patternFill patternType="solid">
        <fgColor rgb="FFFFFFFF"/>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style="thin">
        <color indexed="64"/>
      </bottom>
      <diagonal/>
    </border>
  </borders>
  <cellStyleXfs count="5">
    <xf numFmtId="0" fontId="0" fillId="0" borderId="0"/>
    <xf numFmtId="44" fontId="1" fillId="0" borderId="0" applyFont="0" applyFill="0" applyBorder="0" applyAlignment="0" applyProtection="0"/>
    <xf numFmtId="9" fontId="1" fillId="0" borderId="0" applyFont="0" applyFill="0" applyBorder="0" applyAlignment="0" applyProtection="0"/>
    <xf numFmtId="0" fontId="3" fillId="0" borderId="0"/>
    <xf numFmtId="164" fontId="1" fillId="0" borderId="0" applyFont="0" applyFill="0" applyBorder="0" applyAlignment="0" applyProtection="0"/>
  </cellStyleXfs>
  <cellXfs count="79">
    <xf numFmtId="0" fontId="0" fillId="0" borderId="0" xfId="0"/>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5" fillId="0" borderId="0" xfId="0" applyFont="1"/>
    <xf numFmtId="0" fontId="5" fillId="0" borderId="0" xfId="0" applyFont="1" applyAlignment="1">
      <alignment vertical="center"/>
    </xf>
    <xf numFmtId="0" fontId="4" fillId="0" borderId="0" xfId="0" applyFont="1"/>
    <xf numFmtId="44" fontId="5" fillId="0" borderId="1" xfId="1" applyFont="1" applyBorder="1" applyAlignment="1">
      <alignment horizontal="center" vertical="center" wrapText="1"/>
    </xf>
    <xf numFmtId="0" fontId="4" fillId="2" borderId="1" xfId="0" applyFont="1" applyFill="1" applyBorder="1" applyAlignment="1">
      <alignment horizontal="center" vertical="center" wrapText="1"/>
    </xf>
    <xf numFmtId="0" fontId="5" fillId="0" borderId="1" xfId="0" applyFont="1" applyBorder="1"/>
    <xf numFmtId="0" fontId="4" fillId="7" borderId="1" xfId="0" applyFont="1" applyFill="1" applyBorder="1" applyAlignment="1">
      <alignment horizontal="center"/>
    </xf>
    <xf numFmtId="0" fontId="5" fillId="0" borderId="1" xfId="0" applyFont="1" applyBorder="1" applyAlignment="1">
      <alignment horizontal="center"/>
    </xf>
    <xf numFmtId="0" fontId="8" fillId="0" borderId="1" xfId="0" applyFont="1" applyBorder="1" applyAlignment="1">
      <alignment horizontal="center"/>
    </xf>
    <xf numFmtId="0" fontId="4" fillId="6" borderId="1" xfId="0" applyFont="1" applyFill="1" applyBorder="1" applyAlignment="1">
      <alignment horizontal="center"/>
    </xf>
    <xf numFmtId="164" fontId="5" fillId="0" borderId="1" xfId="4" applyFont="1" applyBorder="1"/>
    <xf numFmtId="164" fontId="5" fillId="5" borderId="1" xfId="4" applyFont="1" applyFill="1" applyBorder="1"/>
    <xf numFmtId="164" fontId="4" fillId="7" borderId="1" xfId="4" applyFont="1" applyFill="1" applyBorder="1"/>
    <xf numFmtId="10" fontId="5" fillId="0" borderId="1" xfId="2" applyNumberFormat="1" applyFont="1" applyFill="1" applyBorder="1" applyAlignment="1">
      <alignment horizontal="center"/>
    </xf>
    <xf numFmtId="10" fontId="4" fillId="7" borderId="1" xfId="2" applyNumberFormat="1" applyFont="1" applyFill="1" applyBorder="1" applyAlignment="1">
      <alignment horizontal="center"/>
    </xf>
    <xf numFmtId="10" fontId="5" fillId="0" borderId="1" xfId="2" applyNumberFormat="1" applyFont="1" applyBorder="1" applyAlignment="1">
      <alignment horizontal="center"/>
    </xf>
    <xf numFmtId="0" fontId="5" fillId="0" borderId="1" xfId="0" applyFont="1" applyBorder="1" applyAlignment="1">
      <alignment horizontal="left" vertical="top" wrapText="1"/>
    </xf>
    <xf numFmtId="164" fontId="5" fillId="0" borderId="1" xfId="4" applyFont="1" applyFill="1" applyBorder="1"/>
    <xf numFmtId="0" fontId="5" fillId="0" borderId="1" xfId="0" applyFont="1" applyBorder="1" applyAlignment="1">
      <alignment vertical="top" wrapText="1"/>
    </xf>
    <xf numFmtId="164" fontId="9" fillId="0" borderId="1" xfId="4" applyFont="1" applyFill="1" applyBorder="1" applyAlignment="1">
      <alignment vertical="center"/>
    </xf>
    <xf numFmtId="164" fontId="5" fillId="0" borderId="1" xfId="4" applyFont="1" applyFill="1" applyBorder="1" applyAlignment="1">
      <alignment vertical="center"/>
    </xf>
    <xf numFmtId="0" fontId="4" fillId="7" borderId="1" xfId="0" applyFont="1" applyFill="1" applyBorder="1"/>
    <xf numFmtId="0" fontId="4" fillId="7" borderId="1" xfId="0" applyFont="1" applyFill="1" applyBorder="1" applyAlignment="1">
      <alignment horizontal="justify" vertical="top" wrapText="1"/>
    </xf>
    <xf numFmtId="0" fontId="5" fillId="0" borderId="1" xfId="0" applyFont="1" applyBorder="1" applyAlignment="1">
      <alignment horizontal="justify" vertical="top" wrapText="1"/>
    </xf>
    <xf numFmtId="0" fontId="5" fillId="0" borderId="0" xfId="0" applyFont="1" applyAlignment="1">
      <alignment horizontal="right" vertical="top" wrapText="1"/>
    </xf>
    <xf numFmtId="0" fontId="5" fillId="0" borderId="4" xfId="0" applyFont="1" applyBorder="1"/>
    <xf numFmtId="10" fontId="4" fillId="0" borderId="1" xfId="2" applyNumberFormat="1" applyFont="1" applyBorder="1" applyAlignment="1">
      <alignment horizontal="center"/>
    </xf>
    <xf numFmtId="164" fontId="4" fillId="0" borderId="1" xfId="4" applyFont="1" applyBorder="1"/>
    <xf numFmtId="0" fontId="4" fillId="0" borderId="1" xfId="0" applyFont="1" applyBorder="1" applyAlignment="1">
      <alignment horizontal="center"/>
    </xf>
    <xf numFmtId="0" fontId="10" fillId="0" borderId="0" xfId="0" applyFont="1"/>
    <xf numFmtId="0" fontId="5" fillId="0" borderId="1" xfId="0" applyFont="1" applyBorder="1" applyAlignment="1">
      <alignment horizontal="center" vertical="center"/>
    </xf>
    <xf numFmtId="10" fontId="5" fillId="0" borderId="1" xfId="0" applyNumberFormat="1" applyFont="1" applyBorder="1" applyAlignment="1">
      <alignment horizontal="center" vertical="top" wrapText="1"/>
    </xf>
    <xf numFmtId="0" fontId="5" fillId="0" borderId="1" xfId="0" applyFont="1" applyBorder="1" applyAlignment="1">
      <alignment horizontal="center" vertical="top" wrapText="1"/>
    </xf>
    <xf numFmtId="165" fontId="5" fillId="0" borderId="1" xfId="0" applyNumberFormat="1" applyFont="1" applyBorder="1" applyAlignment="1">
      <alignment horizontal="center" vertical="top" wrapText="1"/>
    </xf>
    <xf numFmtId="10" fontId="5" fillId="0" borderId="0" xfId="0" applyNumberFormat="1" applyFont="1"/>
    <xf numFmtId="166" fontId="5" fillId="7" borderId="0" xfId="0" applyNumberFormat="1" applyFont="1" applyFill="1"/>
    <xf numFmtId="0" fontId="2" fillId="0" borderId="0" xfId="0" applyFont="1" applyAlignment="1">
      <alignment vertical="center"/>
    </xf>
    <xf numFmtId="0" fontId="4" fillId="0" borderId="0" xfId="0" applyFont="1" applyAlignment="1">
      <alignment vertical="center"/>
    </xf>
    <xf numFmtId="0" fontId="7" fillId="0" borderId="1" xfId="0" applyFont="1" applyBorder="1" applyAlignment="1">
      <alignment horizontal="justify" vertical="center" wrapText="1"/>
    </xf>
    <xf numFmtId="0" fontId="5" fillId="0" borderId="3" xfId="0" applyFont="1" applyBorder="1"/>
    <xf numFmtId="0" fontId="5" fillId="0" borderId="5" xfId="0" applyFont="1" applyBorder="1"/>
    <xf numFmtId="44" fontId="5" fillId="0" borderId="1" xfId="1" applyFont="1" applyFill="1" applyBorder="1" applyAlignment="1">
      <alignment horizontal="center" vertical="center" wrapText="1"/>
    </xf>
    <xf numFmtId="44" fontId="5" fillId="0" borderId="1" xfId="1" applyFont="1" applyBorder="1" applyAlignment="1">
      <alignment horizontal="center"/>
    </xf>
    <xf numFmtId="0" fontId="6" fillId="4" borderId="1" xfId="3" applyFont="1" applyFill="1" applyBorder="1" applyAlignment="1" applyProtection="1">
      <alignment horizontal="center"/>
      <protection locked="0"/>
    </xf>
    <xf numFmtId="0" fontId="7" fillId="0" borderId="1" xfId="0" applyFont="1" applyBorder="1" applyAlignment="1">
      <alignment horizontal="center" vertical="center" wrapText="1"/>
    </xf>
    <xf numFmtId="0" fontId="7" fillId="0" borderId="1" xfId="0" applyFont="1" applyBorder="1" applyAlignment="1">
      <alignment horizontal="center" wrapText="1"/>
    </xf>
    <xf numFmtId="3" fontId="4" fillId="5" borderId="1" xfId="4" applyNumberFormat="1" applyFont="1" applyFill="1" applyBorder="1" applyAlignment="1">
      <alignment horizontal="center"/>
    </xf>
    <xf numFmtId="44" fontId="4" fillId="0" borderId="1" xfId="1" applyFont="1" applyBorder="1" applyAlignment="1">
      <alignment horizontal="center" vertical="center"/>
    </xf>
    <xf numFmtId="167" fontId="7"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44" fontId="5" fillId="0" borderId="0" xfId="1" applyFont="1"/>
    <xf numFmtId="43" fontId="5" fillId="0" borderId="0" xfId="0" applyNumberFormat="1" applyFont="1"/>
    <xf numFmtId="0" fontId="5" fillId="0" borderId="5" xfId="0" applyFont="1" applyBorder="1" applyAlignment="1">
      <alignment horizontal="center"/>
    </xf>
    <xf numFmtId="43" fontId="4" fillId="0" borderId="1" xfId="0" applyNumberFormat="1" applyFont="1" applyBorder="1"/>
    <xf numFmtId="10" fontId="5" fillId="0" borderId="1" xfId="2" applyNumberFormat="1" applyFont="1" applyBorder="1" applyAlignment="1">
      <alignment horizontal="center" vertical="center"/>
    </xf>
    <xf numFmtId="0" fontId="4" fillId="7" borderId="1" xfId="0" applyFont="1" applyFill="1" applyBorder="1" applyAlignment="1">
      <alignment horizontal="right"/>
    </xf>
    <xf numFmtId="0" fontId="4" fillId="7" borderId="1" xfId="0" applyFont="1" applyFill="1" applyBorder="1" applyAlignment="1">
      <alignment horizontal="left"/>
    </xf>
    <xf numFmtId="0" fontId="4" fillId="7" borderId="3" xfId="0" applyFont="1" applyFill="1" applyBorder="1" applyAlignment="1">
      <alignment horizontal="left"/>
    </xf>
    <xf numFmtId="0" fontId="4" fillId="7" borderId="4" xfId="0" applyFont="1" applyFill="1" applyBorder="1" applyAlignment="1">
      <alignment horizontal="left"/>
    </xf>
    <xf numFmtId="0" fontId="4" fillId="0" borderId="3" xfId="0" applyFont="1" applyBorder="1" applyAlignment="1">
      <alignment horizontal="left"/>
    </xf>
    <xf numFmtId="0" fontId="4" fillId="0" borderId="4" xfId="0" applyFont="1" applyBorder="1" applyAlignment="1">
      <alignment horizontal="left"/>
    </xf>
    <xf numFmtId="0" fontId="6" fillId="3" borderId="3" xfId="3" applyFont="1" applyFill="1" applyBorder="1" applyAlignment="1" applyProtection="1">
      <alignment horizontal="center" vertical="center" wrapText="1"/>
      <protection locked="0"/>
    </xf>
    <xf numFmtId="0" fontId="6" fillId="3" borderId="4" xfId="3" applyFont="1" applyFill="1" applyBorder="1" applyAlignment="1" applyProtection="1">
      <alignment horizontal="center" vertical="center" wrapText="1"/>
      <protection locked="0"/>
    </xf>
    <xf numFmtId="0" fontId="6" fillId="5" borderId="1" xfId="3" applyFont="1" applyFill="1" applyBorder="1" applyAlignment="1" applyProtection="1">
      <alignment horizontal="center"/>
      <protection locked="0"/>
    </xf>
    <xf numFmtId="0" fontId="6" fillId="4" borderId="1" xfId="3" applyFont="1" applyFill="1" applyBorder="1" applyAlignment="1" applyProtection="1">
      <alignment horizontal="center"/>
      <protection locked="0"/>
    </xf>
    <xf numFmtId="164" fontId="6" fillId="5" borderId="1" xfId="4" applyFont="1" applyFill="1" applyBorder="1" applyAlignment="1" applyProtection="1">
      <alignment horizontal="center"/>
      <protection locked="0"/>
    </xf>
    <xf numFmtId="14" fontId="6" fillId="5" borderId="2" xfId="3" applyNumberFormat="1" applyFont="1" applyFill="1" applyBorder="1" applyAlignment="1" applyProtection="1">
      <alignment horizontal="center"/>
      <protection locked="0"/>
    </xf>
    <xf numFmtId="0" fontId="6" fillId="5" borderId="2" xfId="3" applyFont="1" applyFill="1" applyBorder="1" applyAlignment="1" applyProtection="1">
      <alignment horizontal="center"/>
      <protection locked="0"/>
    </xf>
    <xf numFmtId="14" fontId="4" fillId="0" borderId="3" xfId="0" applyNumberFormat="1" applyFont="1" applyBorder="1" applyAlignment="1">
      <alignment horizontal="center"/>
    </xf>
    <xf numFmtId="14" fontId="4" fillId="0" borderId="4" xfId="0" applyNumberFormat="1" applyFont="1" applyBorder="1" applyAlignment="1">
      <alignment horizontal="center"/>
    </xf>
    <xf numFmtId="0" fontId="4" fillId="7" borderId="3" xfId="0" applyFont="1" applyFill="1" applyBorder="1" applyAlignment="1">
      <alignment horizontal="center"/>
    </xf>
    <xf numFmtId="0" fontId="4" fillId="7" borderId="4" xfId="0" applyFont="1" applyFill="1" applyBorder="1" applyAlignment="1">
      <alignment horizontal="center"/>
    </xf>
    <xf numFmtId="0" fontId="5" fillId="0" borderId="3" xfId="0" applyFont="1" applyBorder="1" applyAlignment="1">
      <alignment horizontal="left" vertical="center" wrapText="1"/>
    </xf>
    <xf numFmtId="0" fontId="5" fillId="0" borderId="5" xfId="0" applyFont="1" applyBorder="1" applyAlignment="1">
      <alignment horizontal="left" vertical="center" wrapText="1"/>
    </xf>
    <xf numFmtId="0" fontId="5" fillId="0" borderId="4" xfId="0" applyFont="1" applyBorder="1" applyAlignment="1">
      <alignment horizontal="left" vertical="center" wrapText="1"/>
    </xf>
    <xf numFmtId="0" fontId="2" fillId="7" borderId="0" xfId="0" applyFont="1" applyFill="1" applyAlignment="1">
      <alignment horizontal="center"/>
    </xf>
  </cellXfs>
  <cellStyles count="5">
    <cellStyle name="Moeda" xfId="1" builtinId="4"/>
    <cellStyle name="Moeda 2" xfId="4" xr:uid="{00000000-0005-0000-0000-000001000000}"/>
    <cellStyle name="Normal" xfId="0" builtinId="0"/>
    <cellStyle name="Normal 2" xfId="3" xr:uid="{00000000-0005-0000-0000-000003000000}"/>
    <cellStyle name="Porcentagem"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E122"/>
  <sheetViews>
    <sheetView showGridLines="0" zoomScaleNormal="100" workbookViewId="0">
      <pane ySplit="2" topLeftCell="A36" activePane="bottomLeft" state="frozen"/>
      <selection activeCell="A2" sqref="A2"/>
      <selection pane="bottomLeft" activeCell="D94" sqref="D94"/>
    </sheetView>
  </sheetViews>
  <sheetFormatPr baseColWidth="10" defaultColWidth="9.1640625" defaultRowHeight="14" x14ac:dyDescent="0.2"/>
  <cols>
    <col min="1" max="1" width="4" style="3" customWidth="1"/>
    <col min="2" max="2" width="9.1640625" style="3"/>
    <col min="3" max="3" width="69" style="3" customWidth="1"/>
    <col min="4" max="4" width="8.5" style="3" bestFit="1" customWidth="1"/>
    <col min="5" max="5" width="13.5" style="3" bestFit="1" customWidth="1"/>
    <col min="6" max="16384" width="9.1640625" style="3"/>
  </cols>
  <sheetData>
    <row r="1" spans="2:5" ht="15" x14ac:dyDescent="0.2">
      <c r="B1" s="39" t="s">
        <v>0</v>
      </c>
    </row>
    <row r="2" spans="2:5" x14ac:dyDescent="0.2">
      <c r="B2" s="64" t="s">
        <v>1</v>
      </c>
      <c r="C2" s="65"/>
      <c r="D2" s="64"/>
      <c r="E2" s="65"/>
    </row>
    <row r="3" spans="2:5" x14ac:dyDescent="0.2">
      <c r="B3" s="31">
        <v>1</v>
      </c>
      <c r="C3" s="46" t="s">
        <v>2</v>
      </c>
      <c r="D3" s="66" t="s">
        <v>131</v>
      </c>
      <c r="E3" s="66"/>
    </row>
    <row r="4" spans="2:5" x14ac:dyDescent="0.2">
      <c r="B4" s="31">
        <v>2</v>
      </c>
      <c r="C4" s="46" t="s">
        <v>3</v>
      </c>
      <c r="D4" s="67" t="s">
        <v>134</v>
      </c>
      <c r="E4" s="67"/>
    </row>
    <row r="5" spans="2:5" x14ac:dyDescent="0.2">
      <c r="B5" s="31">
        <v>3</v>
      </c>
      <c r="C5" s="46" t="s">
        <v>4</v>
      </c>
      <c r="D5" s="68">
        <v>1941.16</v>
      </c>
      <c r="E5" s="68"/>
    </row>
    <row r="6" spans="2:5" x14ac:dyDescent="0.2">
      <c r="B6" s="31">
        <v>4</v>
      </c>
      <c r="C6" s="46" t="s">
        <v>5</v>
      </c>
      <c r="D6" s="67" t="s">
        <v>132</v>
      </c>
      <c r="E6" s="67"/>
    </row>
    <row r="7" spans="2:5" x14ac:dyDescent="0.2">
      <c r="B7" s="31">
        <v>5</v>
      </c>
      <c r="C7" s="46" t="s">
        <v>6</v>
      </c>
      <c r="D7" s="69">
        <v>45159</v>
      </c>
      <c r="E7" s="70"/>
    </row>
    <row r="8" spans="2:5" x14ac:dyDescent="0.2">
      <c r="B8" s="11">
        <v>6</v>
      </c>
      <c r="C8" s="12" t="s">
        <v>7</v>
      </c>
      <c r="D8" s="71" t="s">
        <v>135</v>
      </c>
      <c r="E8" s="72"/>
    </row>
    <row r="9" spans="2:5" x14ac:dyDescent="0.2">
      <c r="E9" s="32"/>
    </row>
    <row r="10" spans="2:5" x14ac:dyDescent="0.2">
      <c r="B10" s="9">
        <v>1</v>
      </c>
      <c r="C10" s="9" t="s">
        <v>8</v>
      </c>
      <c r="D10" s="73"/>
      <c r="E10" s="74"/>
    </row>
    <row r="11" spans="2:5" x14ac:dyDescent="0.2">
      <c r="B11" s="10" t="s">
        <v>9</v>
      </c>
      <c r="C11" s="8" t="s">
        <v>10</v>
      </c>
      <c r="D11" s="13"/>
      <c r="E11" s="14">
        <v>3000</v>
      </c>
    </row>
    <row r="12" spans="2:5" x14ac:dyDescent="0.2">
      <c r="B12" s="10" t="s">
        <v>11</v>
      </c>
      <c r="C12" s="8" t="s">
        <v>12</v>
      </c>
      <c r="D12" s="13"/>
      <c r="E12" s="13">
        <v>0</v>
      </c>
    </row>
    <row r="13" spans="2:5" x14ac:dyDescent="0.2">
      <c r="B13" s="10" t="s">
        <v>13</v>
      </c>
      <c r="C13" s="8" t="s">
        <v>14</v>
      </c>
      <c r="D13" s="13"/>
      <c r="E13" s="13">
        <v>0</v>
      </c>
    </row>
    <row r="14" spans="2:5" x14ac:dyDescent="0.2">
      <c r="B14" s="10" t="s">
        <v>15</v>
      </c>
      <c r="C14" s="8" t="s">
        <v>16</v>
      </c>
      <c r="D14" s="13"/>
      <c r="E14" s="13">
        <v>0</v>
      </c>
    </row>
    <row r="15" spans="2:5" x14ac:dyDescent="0.2">
      <c r="B15" s="10" t="s">
        <v>17</v>
      </c>
      <c r="C15" s="8" t="s">
        <v>18</v>
      </c>
      <c r="D15" s="13"/>
      <c r="E15" s="13">
        <v>0</v>
      </c>
    </row>
    <row r="16" spans="2:5" x14ac:dyDescent="0.2">
      <c r="B16" s="10" t="s">
        <v>19</v>
      </c>
      <c r="C16" s="8" t="s">
        <v>20</v>
      </c>
      <c r="D16" s="13"/>
      <c r="E16" s="13">
        <v>0</v>
      </c>
    </row>
    <row r="17" spans="2:5" x14ac:dyDescent="0.2">
      <c r="B17" s="10" t="s">
        <v>21</v>
      </c>
      <c r="C17" s="8" t="s">
        <v>22</v>
      </c>
      <c r="D17" s="13"/>
      <c r="E17" s="13">
        <v>0</v>
      </c>
    </row>
    <row r="18" spans="2:5" x14ac:dyDescent="0.2">
      <c r="B18" s="59" t="s">
        <v>23</v>
      </c>
      <c r="C18" s="59"/>
      <c r="D18" s="15"/>
      <c r="E18" s="15">
        <f>SUM(E11:E17)</f>
        <v>3000</v>
      </c>
    </row>
    <row r="19" spans="2:5" x14ac:dyDescent="0.2">
      <c r="D19" s="32"/>
    </row>
    <row r="20" spans="2:5" x14ac:dyDescent="0.2">
      <c r="B20" s="9">
        <v>2</v>
      </c>
      <c r="C20" s="9" t="s">
        <v>24</v>
      </c>
      <c r="D20" s="9" t="s">
        <v>25</v>
      </c>
      <c r="E20" s="9" t="s">
        <v>26</v>
      </c>
    </row>
    <row r="21" spans="2:5" x14ac:dyDescent="0.2">
      <c r="B21" s="10" t="s">
        <v>9</v>
      </c>
      <c r="C21" s="8" t="s">
        <v>27</v>
      </c>
      <c r="D21" s="16">
        <v>0.2</v>
      </c>
      <c r="E21" s="13">
        <f>D21*E$18</f>
        <v>600</v>
      </c>
    </row>
    <row r="22" spans="2:5" x14ac:dyDescent="0.2">
      <c r="B22" s="10" t="s">
        <v>11</v>
      </c>
      <c r="C22" s="8" t="s">
        <v>28</v>
      </c>
      <c r="D22" s="16">
        <v>1.4999999999999999E-2</v>
      </c>
      <c r="E22" s="13">
        <f t="shared" ref="E22:E28" si="0">D22*E$18</f>
        <v>45</v>
      </c>
    </row>
    <row r="23" spans="2:5" x14ac:dyDescent="0.2">
      <c r="B23" s="10" t="s">
        <v>13</v>
      </c>
      <c r="C23" s="8" t="s">
        <v>29</v>
      </c>
      <c r="D23" s="16">
        <v>0.01</v>
      </c>
      <c r="E23" s="13">
        <f t="shared" si="0"/>
        <v>30</v>
      </c>
    </row>
    <row r="24" spans="2:5" x14ac:dyDescent="0.2">
      <c r="B24" s="10" t="s">
        <v>15</v>
      </c>
      <c r="C24" s="8" t="s">
        <v>30</v>
      </c>
      <c r="D24" s="16">
        <v>2E-3</v>
      </c>
      <c r="E24" s="13">
        <f t="shared" si="0"/>
        <v>6</v>
      </c>
    </row>
    <row r="25" spans="2:5" x14ac:dyDescent="0.2">
      <c r="B25" s="10" t="s">
        <v>17</v>
      </c>
      <c r="C25" s="8" t="s">
        <v>31</v>
      </c>
      <c r="D25" s="16">
        <v>2.5000000000000001E-2</v>
      </c>
      <c r="E25" s="13">
        <f t="shared" si="0"/>
        <v>75</v>
      </c>
    </row>
    <row r="26" spans="2:5" x14ac:dyDescent="0.2">
      <c r="B26" s="10" t="s">
        <v>19</v>
      </c>
      <c r="C26" s="8" t="s">
        <v>32</v>
      </c>
      <c r="D26" s="16">
        <v>0.08</v>
      </c>
      <c r="E26" s="13">
        <f t="shared" si="0"/>
        <v>240</v>
      </c>
    </row>
    <row r="27" spans="2:5" x14ac:dyDescent="0.2">
      <c r="B27" s="10" t="s">
        <v>21</v>
      </c>
      <c r="C27" s="8" t="s">
        <v>33</v>
      </c>
      <c r="D27" s="16">
        <v>0.03</v>
      </c>
      <c r="E27" s="13">
        <f t="shared" si="0"/>
        <v>90</v>
      </c>
    </row>
    <row r="28" spans="2:5" x14ac:dyDescent="0.2">
      <c r="B28" s="10" t="s">
        <v>34</v>
      </c>
      <c r="C28" s="8" t="s">
        <v>35</v>
      </c>
      <c r="D28" s="16">
        <v>6.0000000000000001E-3</v>
      </c>
      <c r="E28" s="13">
        <f t="shared" si="0"/>
        <v>18</v>
      </c>
    </row>
    <row r="29" spans="2:5" x14ac:dyDescent="0.2">
      <c r="B29" s="59" t="s">
        <v>23</v>
      </c>
      <c r="C29" s="59"/>
      <c r="D29" s="17">
        <f>SUM(D21:D28)</f>
        <v>0.3680000000000001</v>
      </c>
      <c r="E29" s="15">
        <f>SUM(E21:E28)</f>
        <v>1104</v>
      </c>
    </row>
    <row r="30" spans="2:5" x14ac:dyDescent="0.2">
      <c r="D30" s="32"/>
    </row>
    <row r="31" spans="2:5" x14ac:dyDescent="0.2">
      <c r="B31" s="9">
        <v>2</v>
      </c>
      <c r="C31" s="9" t="s">
        <v>36</v>
      </c>
      <c r="D31" s="9"/>
      <c r="E31" s="9" t="s">
        <v>26</v>
      </c>
    </row>
    <row r="32" spans="2:5" x14ac:dyDescent="0.2">
      <c r="B32" s="10" t="s">
        <v>9</v>
      </c>
      <c r="C32" s="8" t="s">
        <v>37</v>
      </c>
      <c r="D32" s="18">
        <f>E32/$E$18</f>
        <v>8.3333333333333329E-2</v>
      </c>
      <c r="E32" s="13">
        <f>E18/12</f>
        <v>250</v>
      </c>
    </row>
    <row r="33" spans="2:5" x14ac:dyDescent="0.2">
      <c r="B33" s="10" t="s">
        <v>11</v>
      </c>
      <c r="C33" s="8" t="s">
        <v>38</v>
      </c>
      <c r="D33" s="18">
        <f>E33/$E$18</f>
        <v>2.7777777777777776E-2</v>
      </c>
      <c r="E33" s="13">
        <f>(E18/3)/12</f>
        <v>83.333333333333329</v>
      </c>
    </row>
    <row r="34" spans="2:5" x14ac:dyDescent="0.2">
      <c r="B34" s="10"/>
      <c r="C34" s="8" t="s">
        <v>39</v>
      </c>
      <c r="D34" s="18">
        <f>E34/$E$18</f>
        <v>0.1111111111111111</v>
      </c>
      <c r="E34" s="13">
        <f>SUM(E32:E33)</f>
        <v>333.33333333333331</v>
      </c>
    </row>
    <row r="35" spans="2:5" x14ac:dyDescent="0.2">
      <c r="B35" s="10" t="s">
        <v>13</v>
      </c>
      <c r="C35" s="8" t="s">
        <v>40</v>
      </c>
      <c r="D35" s="18">
        <f>E35/$E$18</f>
        <v>4.0888888888888898E-2</v>
      </c>
      <c r="E35" s="13">
        <f>E34*D29</f>
        <v>122.6666666666667</v>
      </c>
    </row>
    <row r="36" spans="2:5" x14ac:dyDescent="0.2">
      <c r="B36" s="59" t="s">
        <v>41</v>
      </c>
      <c r="C36" s="59"/>
      <c r="D36" s="17">
        <f>SUM(D34:D35)</f>
        <v>0.152</v>
      </c>
      <c r="E36" s="15">
        <f>E34+E35</f>
        <v>456</v>
      </c>
    </row>
    <row r="37" spans="2:5" x14ac:dyDescent="0.2">
      <c r="D37" s="32"/>
    </row>
    <row r="38" spans="2:5" x14ac:dyDescent="0.2">
      <c r="B38" s="9">
        <v>2</v>
      </c>
      <c r="C38" s="9" t="s">
        <v>42</v>
      </c>
      <c r="D38" s="9"/>
      <c r="E38" s="9" t="s">
        <v>26</v>
      </c>
    </row>
    <row r="39" spans="2:5" x14ac:dyDescent="0.2">
      <c r="B39" s="10" t="s">
        <v>9</v>
      </c>
      <c r="C39" s="8" t="s">
        <v>43</v>
      </c>
      <c r="D39" s="18">
        <f>E39/$E$18</f>
        <v>1.2890933000000002E-3</v>
      </c>
      <c r="E39" s="13">
        <f>((E18+(E18/3))*0.3333)/12*0.034809</f>
        <v>3.8672799000000002</v>
      </c>
    </row>
    <row r="40" spans="2:5" x14ac:dyDescent="0.2">
      <c r="B40" s="10" t="s">
        <v>11</v>
      </c>
      <c r="C40" s="8" t="s">
        <v>44</v>
      </c>
      <c r="D40" s="18">
        <f>E40/$E$18</f>
        <v>4.7438633440000018E-4</v>
      </c>
      <c r="E40" s="13">
        <f>E39*D29</f>
        <v>1.4231590032000005</v>
      </c>
    </row>
    <row r="41" spans="2:5" x14ac:dyDescent="0.2">
      <c r="B41" s="59" t="s">
        <v>45</v>
      </c>
      <c r="C41" s="59"/>
      <c r="D41" s="17">
        <f>SUM(D39:D40)</f>
        <v>1.7634796344000003E-3</v>
      </c>
      <c r="E41" s="15">
        <f>SUM(E39:E40)</f>
        <v>5.290438903200001</v>
      </c>
    </row>
    <row r="43" spans="2:5" x14ac:dyDescent="0.2">
      <c r="B43" s="9">
        <v>2</v>
      </c>
      <c r="C43" s="9" t="s">
        <v>46</v>
      </c>
      <c r="D43" s="9"/>
      <c r="E43" s="9" t="s">
        <v>26</v>
      </c>
    </row>
    <row r="44" spans="2:5" x14ac:dyDescent="0.2">
      <c r="B44" s="10" t="s">
        <v>9</v>
      </c>
      <c r="C44" s="8" t="s">
        <v>47</v>
      </c>
      <c r="D44" s="18">
        <f>E44/$E$18</f>
        <v>1.6666666666666668E-3</v>
      </c>
      <c r="E44" s="13">
        <f>(E18/12)*0.02</f>
        <v>5</v>
      </c>
    </row>
    <row r="45" spans="2:5" x14ac:dyDescent="0.2">
      <c r="B45" s="10" t="s">
        <v>11</v>
      </c>
      <c r="C45" s="8" t="s">
        <v>48</v>
      </c>
      <c r="D45" s="18">
        <f>E45/$E$18</f>
        <v>1.3333333333333334E-4</v>
      </c>
      <c r="E45" s="13">
        <f>E44*0.08</f>
        <v>0.4</v>
      </c>
    </row>
    <row r="46" spans="2:5" x14ac:dyDescent="0.2">
      <c r="B46" s="10" t="s">
        <v>13</v>
      </c>
      <c r="C46" s="8" t="s">
        <v>49</v>
      </c>
      <c r="D46" s="18" t="s">
        <v>50</v>
      </c>
      <c r="E46" s="10" t="s">
        <v>50</v>
      </c>
    </row>
    <row r="47" spans="2:5" x14ac:dyDescent="0.2">
      <c r="B47" s="10" t="s">
        <v>51</v>
      </c>
      <c r="C47" s="8" t="s">
        <v>52</v>
      </c>
      <c r="D47" s="18">
        <f>E47/$E$18</f>
        <v>6.3999999999999994E-4</v>
      </c>
      <c r="E47" s="13">
        <f>((E18*0.08)*0.4)*0.02</f>
        <v>1.92</v>
      </c>
    </row>
    <row r="48" spans="2:5" x14ac:dyDescent="0.2">
      <c r="B48" s="10" t="s">
        <v>15</v>
      </c>
      <c r="C48" s="8" t="s">
        <v>53</v>
      </c>
      <c r="D48" s="18">
        <f>E48/$E$18</f>
        <v>1.9444444444444445E-2</v>
      </c>
      <c r="E48" s="13">
        <f>((E18/30)*7)/12</f>
        <v>58.333333333333336</v>
      </c>
    </row>
    <row r="49" spans="2:5" x14ac:dyDescent="0.2">
      <c r="B49" s="10" t="s">
        <v>17</v>
      </c>
      <c r="C49" s="8" t="s">
        <v>54</v>
      </c>
      <c r="D49" s="18">
        <f>E49/$E$18</f>
        <v>7.1555555555555574E-3</v>
      </c>
      <c r="E49" s="13">
        <f>E48*D29</f>
        <v>21.466666666666672</v>
      </c>
    </row>
    <row r="50" spans="2:5" x14ac:dyDescent="0.2">
      <c r="B50" s="10" t="s">
        <v>19</v>
      </c>
      <c r="C50" s="8" t="s">
        <v>55</v>
      </c>
      <c r="D50" s="18" t="s">
        <v>50</v>
      </c>
      <c r="E50" s="10" t="s">
        <v>50</v>
      </c>
    </row>
    <row r="51" spans="2:5" x14ac:dyDescent="0.2">
      <c r="B51" s="10" t="s">
        <v>56</v>
      </c>
      <c r="C51" s="8" t="s">
        <v>57</v>
      </c>
      <c r="D51" s="18">
        <f>E51/$E$18</f>
        <v>3.2000000000000001E-2</v>
      </c>
      <c r="E51" s="13">
        <f>E18*0.08*0.4</f>
        <v>96</v>
      </c>
    </row>
    <row r="52" spans="2:5" x14ac:dyDescent="0.2">
      <c r="B52" s="59" t="s">
        <v>45</v>
      </c>
      <c r="C52" s="59"/>
      <c r="D52" s="17">
        <f>SUM(D44:D45,D47:D49,D51:D51)</f>
        <v>6.1040000000000004E-2</v>
      </c>
      <c r="E52" s="15">
        <f>SUM(E44:E51)</f>
        <v>183.12</v>
      </c>
    </row>
    <row r="54" spans="2:5" x14ac:dyDescent="0.2">
      <c r="B54" s="9">
        <v>2</v>
      </c>
      <c r="C54" s="9" t="s">
        <v>58</v>
      </c>
      <c r="D54" s="9"/>
      <c r="E54" s="9" t="s">
        <v>26</v>
      </c>
    </row>
    <row r="55" spans="2:5" x14ac:dyDescent="0.2">
      <c r="B55" s="10" t="s">
        <v>9</v>
      </c>
      <c r="C55" s="8" t="s">
        <v>59</v>
      </c>
      <c r="D55" s="18">
        <f t="shared" ref="D55:D62" si="1">E55/$E$18</f>
        <v>8.3333333333333329E-2</v>
      </c>
      <c r="E55" s="13">
        <f>E18/12</f>
        <v>250</v>
      </c>
    </row>
    <row r="56" spans="2:5" x14ac:dyDescent="0.2">
      <c r="B56" s="10" t="s">
        <v>11</v>
      </c>
      <c r="C56" s="8" t="s">
        <v>60</v>
      </c>
      <c r="D56" s="18">
        <f t="shared" si="1"/>
        <v>1.3888888888888888E-2</v>
      </c>
      <c r="E56" s="13">
        <f>((E18/30)*5)/12</f>
        <v>41.666666666666664</v>
      </c>
    </row>
    <row r="57" spans="2:5" x14ac:dyDescent="0.2">
      <c r="B57" s="10" t="s">
        <v>13</v>
      </c>
      <c r="C57" s="8" t="s">
        <v>61</v>
      </c>
      <c r="D57" s="18">
        <f t="shared" si="1"/>
        <v>5.0784722222222214E-4</v>
      </c>
      <c r="E57" s="13">
        <f>(((E18/30)*5)/12)*0.036565</f>
        <v>1.5235416666666666</v>
      </c>
    </row>
    <row r="58" spans="2:5" x14ac:dyDescent="0.2">
      <c r="B58" s="10" t="s">
        <v>15</v>
      </c>
      <c r="C58" s="8" t="s">
        <v>62</v>
      </c>
      <c r="D58" s="18">
        <f t="shared" si="1"/>
        <v>8.2222222222222228E-3</v>
      </c>
      <c r="E58" s="13">
        <f>((E18/30)*2.96)/12</f>
        <v>24.666666666666668</v>
      </c>
    </row>
    <row r="59" spans="2:5" x14ac:dyDescent="0.2">
      <c r="B59" s="10" t="s">
        <v>17</v>
      </c>
      <c r="C59" s="8" t="s">
        <v>63</v>
      </c>
      <c r="D59" s="18">
        <f t="shared" si="1"/>
        <v>1.1904722222222223E-2</v>
      </c>
      <c r="E59" s="13">
        <f>((E18/30)*4.2857)/12</f>
        <v>35.714166666666671</v>
      </c>
    </row>
    <row r="60" spans="2:5" x14ac:dyDescent="0.2">
      <c r="B60" s="10" t="s">
        <v>19</v>
      </c>
      <c r="C60" s="8" t="s">
        <v>22</v>
      </c>
      <c r="D60" s="18">
        <f t="shared" si="1"/>
        <v>0</v>
      </c>
      <c r="E60" s="13"/>
    </row>
    <row r="61" spans="2:5" x14ac:dyDescent="0.2">
      <c r="B61" s="10"/>
      <c r="C61" s="8" t="s">
        <v>64</v>
      </c>
      <c r="D61" s="18">
        <f t="shared" si="1"/>
        <v>0.1178570138888889</v>
      </c>
      <c r="E61" s="13">
        <f>SUM(E55:E60)</f>
        <v>353.5710416666667</v>
      </c>
    </row>
    <row r="62" spans="2:5" x14ac:dyDescent="0.2">
      <c r="B62" s="10" t="s">
        <v>21</v>
      </c>
      <c r="C62" s="8" t="s">
        <v>65</v>
      </c>
      <c r="D62" s="18">
        <f t="shared" si="1"/>
        <v>4.3371381111111128E-2</v>
      </c>
      <c r="E62" s="13">
        <f>E61*D29</f>
        <v>130.11414333333337</v>
      </c>
    </row>
    <row r="63" spans="2:5" x14ac:dyDescent="0.2">
      <c r="B63" s="59" t="s">
        <v>45</v>
      </c>
      <c r="C63" s="59"/>
      <c r="D63" s="17">
        <f>SUM(D61:D62)</f>
        <v>0.16122839500000002</v>
      </c>
      <c r="E63" s="15">
        <f>SUM(E61:E62)</f>
        <v>483.68518500000005</v>
      </c>
    </row>
    <row r="65" spans="2:5" x14ac:dyDescent="0.2">
      <c r="B65" s="9">
        <v>2</v>
      </c>
      <c r="C65" s="9" t="s">
        <v>66</v>
      </c>
      <c r="D65" s="9"/>
      <c r="E65" s="9" t="s">
        <v>26</v>
      </c>
    </row>
    <row r="66" spans="2:5" x14ac:dyDescent="0.2">
      <c r="B66" s="10" t="s">
        <v>9</v>
      </c>
      <c r="C66" s="8" t="s">
        <v>67</v>
      </c>
      <c r="D66" s="18">
        <f t="shared" ref="D66:D71" si="2">E66/$E$18</f>
        <v>0.36799999999999999</v>
      </c>
      <c r="E66" s="13">
        <f>E29</f>
        <v>1104</v>
      </c>
    </row>
    <row r="67" spans="2:5" x14ac:dyDescent="0.2">
      <c r="B67" s="10" t="s">
        <v>11</v>
      </c>
      <c r="C67" s="8" t="s">
        <v>68</v>
      </c>
      <c r="D67" s="18">
        <f t="shared" si="2"/>
        <v>0.152</v>
      </c>
      <c r="E67" s="13">
        <f>E36</f>
        <v>456</v>
      </c>
    </row>
    <row r="68" spans="2:5" x14ac:dyDescent="0.2">
      <c r="B68" s="10" t="s">
        <v>13</v>
      </c>
      <c r="C68" s="8" t="s">
        <v>69</v>
      </c>
      <c r="D68" s="18">
        <f t="shared" si="2"/>
        <v>1.7634796344000003E-3</v>
      </c>
      <c r="E68" s="13">
        <f>E41</f>
        <v>5.290438903200001</v>
      </c>
    </row>
    <row r="69" spans="2:5" x14ac:dyDescent="0.2">
      <c r="B69" s="10" t="s">
        <v>15</v>
      </c>
      <c r="C69" s="8" t="s">
        <v>70</v>
      </c>
      <c r="D69" s="18">
        <f t="shared" si="2"/>
        <v>6.1040000000000004E-2</v>
      </c>
      <c r="E69" s="13">
        <f>E52</f>
        <v>183.12</v>
      </c>
    </row>
    <row r="70" spans="2:5" x14ac:dyDescent="0.2">
      <c r="B70" s="10" t="s">
        <v>17</v>
      </c>
      <c r="C70" s="8" t="s">
        <v>71</v>
      </c>
      <c r="D70" s="18">
        <f t="shared" si="2"/>
        <v>0.16122839500000002</v>
      </c>
      <c r="E70" s="13">
        <f>E63</f>
        <v>483.68518500000005</v>
      </c>
    </row>
    <row r="71" spans="2:5" x14ac:dyDescent="0.2">
      <c r="B71" s="10" t="s">
        <v>19</v>
      </c>
      <c r="C71" s="8" t="s">
        <v>22</v>
      </c>
      <c r="D71" s="18">
        <f t="shared" si="2"/>
        <v>0</v>
      </c>
      <c r="E71" s="13"/>
    </row>
    <row r="72" spans="2:5" x14ac:dyDescent="0.2">
      <c r="B72" s="59" t="s">
        <v>72</v>
      </c>
      <c r="C72" s="59"/>
      <c r="D72" s="17">
        <f>SUM(D66:D71)</f>
        <v>0.74403187463440013</v>
      </c>
      <c r="E72" s="15">
        <f>SUM(E66:E71)</f>
        <v>2232.0956239032002</v>
      </c>
    </row>
    <row r="74" spans="2:5" x14ac:dyDescent="0.2">
      <c r="B74" s="9">
        <v>3</v>
      </c>
      <c r="C74" s="9" t="s">
        <v>73</v>
      </c>
      <c r="D74" s="9"/>
      <c r="E74" s="9" t="s">
        <v>26</v>
      </c>
    </row>
    <row r="75" spans="2:5" ht="15" x14ac:dyDescent="0.2">
      <c r="B75" s="10" t="s">
        <v>9</v>
      </c>
      <c r="C75" s="19" t="s">
        <v>74</v>
      </c>
      <c r="D75" s="21"/>
      <c r="E75" s="20">
        <v>0</v>
      </c>
    </row>
    <row r="76" spans="2:5" ht="15" customHeight="1" x14ac:dyDescent="0.2">
      <c r="B76" s="10" t="s">
        <v>11</v>
      </c>
      <c r="C76" s="21" t="s">
        <v>75</v>
      </c>
      <c r="D76" s="21"/>
      <c r="E76" s="20">
        <f>21*30.83-E77</f>
        <v>587.42999999999995</v>
      </c>
    </row>
    <row r="77" spans="2:5" s="4" customFormat="1" ht="15" customHeight="1" x14ac:dyDescent="0.2">
      <c r="B77" s="33" t="s">
        <v>13</v>
      </c>
      <c r="C77" s="1" t="s">
        <v>76</v>
      </c>
      <c r="D77" s="1"/>
      <c r="E77" s="22">
        <f>E11*0.02</f>
        <v>60</v>
      </c>
    </row>
    <row r="78" spans="2:5" ht="15" x14ac:dyDescent="0.2">
      <c r="B78" s="10" t="s">
        <v>15</v>
      </c>
      <c r="C78" s="21" t="s">
        <v>77</v>
      </c>
      <c r="D78" s="21"/>
      <c r="E78" s="20">
        <v>0</v>
      </c>
    </row>
    <row r="79" spans="2:5" ht="15" x14ac:dyDescent="0.2">
      <c r="B79" s="10" t="s">
        <v>17</v>
      </c>
      <c r="C79" s="21" t="s">
        <v>78</v>
      </c>
      <c r="D79" s="21"/>
      <c r="E79" s="20">
        <v>0</v>
      </c>
    </row>
    <row r="80" spans="2:5" ht="15" x14ac:dyDescent="0.2">
      <c r="B80" s="10" t="s">
        <v>19</v>
      </c>
      <c r="C80" s="21" t="s">
        <v>79</v>
      </c>
      <c r="D80" s="21"/>
      <c r="E80" s="20">
        <v>0</v>
      </c>
    </row>
    <row r="81" spans="2:5" ht="15" customHeight="1" x14ac:dyDescent="0.2">
      <c r="B81" s="10" t="s">
        <v>21</v>
      </c>
      <c r="C81" s="21" t="s">
        <v>80</v>
      </c>
      <c r="D81" s="21"/>
      <c r="E81" s="20">
        <v>10</v>
      </c>
    </row>
    <row r="82" spans="2:5" ht="15" x14ac:dyDescent="0.2">
      <c r="B82" s="10" t="s">
        <v>34</v>
      </c>
      <c r="C82" s="1" t="s">
        <v>81</v>
      </c>
      <c r="D82" s="21"/>
      <c r="E82" s="23">
        <v>0</v>
      </c>
    </row>
    <row r="83" spans="2:5" ht="15" customHeight="1" x14ac:dyDescent="0.2">
      <c r="B83" s="10" t="s">
        <v>82</v>
      </c>
      <c r="C83" s="1" t="s">
        <v>83</v>
      </c>
      <c r="D83" s="21"/>
      <c r="E83" s="23">
        <v>0</v>
      </c>
    </row>
    <row r="84" spans="2:5" x14ac:dyDescent="0.2">
      <c r="B84" s="59" t="s">
        <v>84</v>
      </c>
      <c r="C84" s="59"/>
      <c r="D84" s="17"/>
      <c r="E84" s="15">
        <f>SUM(E75:E83)</f>
        <v>657.43</v>
      </c>
    </row>
    <row r="86" spans="2:5" x14ac:dyDescent="0.2">
      <c r="B86" s="9">
        <v>4</v>
      </c>
      <c r="C86" s="24" t="s">
        <v>85</v>
      </c>
      <c r="D86" s="9"/>
      <c r="E86" s="9" t="s">
        <v>26</v>
      </c>
    </row>
    <row r="87" spans="2:5" ht="15" x14ac:dyDescent="0.2">
      <c r="B87" s="10" t="s">
        <v>9</v>
      </c>
      <c r="C87" s="21" t="s">
        <v>86</v>
      </c>
      <c r="D87" s="21"/>
      <c r="E87" s="13"/>
    </row>
    <row r="88" spans="2:5" ht="15" x14ac:dyDescent="0.2">
      <c r="B88" s="10" t="s">
        <v>11</v>
      </c>
      <c r="C88" s="21" t="s">
        <v>22</v>
      </c>
      <c r="D88" s="21"/>
      <c r="E88" s="13">
        <v>0</v>
      </c>
    </row>
    <row r="89" spans="2:5" x14ac:dyDescent="0.2">
      <c r="B89" s="59" t="s">
        <v>87</v>
      </c>
      <c r="C89" s="59"/>
      <c r="D89" s="17"/>
      <c r="E89" s="15">
        <f>SUM(E87:E88)</f>
        <v>0</v>
      </c>
    </row>
    <row r="91" spans="2:5" ht="15" x14ac:dyDescent="0.2">
      <c r="B91" s="9">
        <v>5</v>
      </c>
      <c r="C91" s="25" t="s">
        <v>88</v>
      </c>
      <c r="D91" s="9" t="s">
        <v>25</v>
      </c>
      <c r="E91" s="9" t="s">
        <v>26</v>
      </c>
    </row>
    <row r="92" spans="2:5" ht="15" x14ac:dyDescent="0.2">
      <c r="B92" s="10" t="s">
        <v>9</v>
      </c>
      <c r="C92" s="26" t="s">
        <v>89</v>
      </c>
      <c r="D92" s="34">
        <v>0.21</v>
      </c>
      <c r="E92" s="13">
        <f>(E18+E72+E84+E89)*D92</f>
        <v>1236.8003810196722</v>
      </c>
    </row>
    <row r="93" spans="2:5" ht="15" x14ac:dyDescent="0.2">
      <c r="B93" s="10" t="s">
        <v>11</v>
      </c>
      <c r="C93" s="26" t="s">
        <v>90</v>
      </c>
      <c r="D93" s="34">
        <v>0.17335800000000001</v>
      </c>
      <c r="E93" s="13">
        <f>(E18+E72+E84+E89+E92)*D93</f>
        <v>1235.4056235614196</v>
      </c>
    </row>
    <row r="94" spans="2:5" x14ac:dyDescent="0.2">
      <c r="B94" s="60" t="s">
        <v>91</v>
      </c>
      <c r="C94" s="61"/>
      <c r="D94" s="17"/>
      <c r="E94" s="15">
        <f>SUM(E92:E93)</f>
        <v>2472.2060045810917</v>
      </c>
    </row>
    <row r="96" spans="2:5" ht="15" x14ac:dyDescent="0.2">
      <c r="B96" s="9">
        <v>6</v>
      </c>
      <c r="C96" s="25" t="s">
        <v>92</v>
      </c>
      <c r="D96" s="9" t="s">
        <v>25</v>
      </c>
      <c r="E96" s="9" t="s">
        <v>26</v>
      </c>
    </row>
    <row r="97" spans="2:5" ht="15" x14ac:dyDescent="0.2">
      <c r="B97" s="10" t="s">
        <v>9</v>
      </c>
      <c r="C97" s="26" t="s">
        <v>93</v>
      </c>
      <c r="D97" s="35"/>
      <c r="E97" s="13"/>
    </row>
    <row r="98" spans="2:5" ht="15" x14ac:dyDescent="0.2">
      <c r="B98" s="10" t="s">
        <v>94</v>
      </c>
      <c r="C98" s="26" t="s">
        <v>95</v>
      </c>
      <c r="D98" s="34"/>
      <c r="E98" s="20"/>
    </row>
    <row r="99" spans="2:5" ht="15" x14ac:dyDescent="0.2">
      <c r="B99" s="10"/>
      <c r="C99" s="26" t="s">
        <v>96</v>
      </c>
      <c r="D99" s="34">
        <v>6.4999999999999997E-3</v>
      </c>
      <c r="E99" s="20">
        <f>E117*D99</f>
        <v>59.497816732510017</v>
      </c>
    </row>
    <row r="100" spans="2:5" ht="15" x14ac:dyDescent="0.2">
      <c r="B100" s="10"/>
      <c r="C100" s="26" t="s">
        <v>97</v>
      </c>
      <c r="D100" s="34">
        <v>0.03</v>
      </c>
      <c r="E100" s="20">
        <f>E117*D100</f>
        <v>274.60530799620005</v>
      </c>
    </row>
    <row r="101" spans="2:5" ht="15" x14ac:dyDescent="0.2">
      <c r="B101" s="10" t="s">
        <v>98</v>
      </c>
      <c r="C101" s="26" t="s">
        <v>99</v>
      </c>
      <c r="D101" s="36"/>
      <c r="E101" s="20">
        <f>E117*D101</f>
        <v>0</v>
      </c>
    </row>
    <row r="102" spans="2:5" ht="15" x14ac:dyDescent="0.2">
      <c r="B102" s="10" t="s">
        <v>100</v>
      </c>
      <c r="C102" s="26" t="s">
        <v>101</v>
      </c>
      <c r="D102" s="36"/>
      <c r="E102" s="20">
        <f>E117*D102</f>
        <v>0</v>
      </c>
    </row>
    <row r="103" spans="2:5" ht="15" x14ac:dyDescent="0.2">
      <c r="B103" s="10"/>
      <c r="C103" s="26" t="s">
        <v>102</v>
      </c>
      <c r="D103" s="34">
        <v>0.05</v>
      </c>
      <c r="E103" s="13">
        <f>D103*E117</f>
        <v>457.67551332700015</v>
      </c>
    </row>
    <row r="104" spans="2:5" ht="15" x14ac:dyDescent="0.2">
      <c r="B104" s="10" t="s">
        <v>103</v>
      </c>
      <c r="C104" s="26" t="s">
        <v>130</v>
      </c>
      <c r="D104" s="36"/>
      <c r="E104" s="13">
        <f>E117*D104</f>
        <v>0</v>
      </c>
    </row>
    <row r="105" spans="2:5" x14ac:dyDescent="0.2">
      <c r="B105" s="60" t="s">
        <v>104</v>
      </c>
      <c r="C105" s="61"/>
      <c r="D105" s="17">
        <f>SUM(D97:D104)</f>
        <v>8.6499999999999994E-2</v>
      </c>
      <c r="E105" s="15">
        <f>SUM(E97:E104)</f>
        <v>791.77863805571019</v>
      </c>
    </row>
    <row r="106" spans="2:5" ht="15" x14ac:dyDescent="0.2">
      <c r="C106" s="27" t="s">
        <v>105</v>
      </c>
      <c r="D106" s="37">
        <f>SUM(D98:D104)</f>
        <v>8.6499999999999994E-2</v>
      </c>
      <c r="E106" s="3">
        <f>D106*100</f>
        <v>8.6499999999999986</v>
      </c>
    </row>
    <row r="107" spans="2:5" ht="15" x14ac:dyDescent="0.2">
      <c r="C107" s="27" t="s">
        <v>106</v>
      </c>
      <c r="D107" s="38">
        <f>1-(E106/100)</f>
        <v>0.91349999999999998</v>
      </c>
    </row>
    <row r="109" spans="2:5" x14ac:dyDescent="0.2">
      <c r="B109" s="9"/>
      <c r="C109" s="24" t="s">
        <v>107</v>
      </c>
      <c r="D109" s="9"/>
      <c r="E109" s="9" t="s">
        <v>26</v>
      </c>
    </row>
    <row r="110" spans="2:5" x14ac:dyDescent="0.2">
      <c r="B110" s="10" t="s">
        <v>9</v>
      </c>
      <c r="C110" s="8" t="s">
        <v>108</v>
      </c>
      <c r="D110" s="18"/>
      <c r="E110" s="13">
        <f>E18</f>
        <v>3000</v>
      </c>
    </row>
    <row r="111" spans="2:5" x14ac:dyDescent="0.2">
      <c r="B111" s="10" t="s">
        <v>11</v>
      </c>
      <c r="C111" s="8" t="s">
        <v>109</v>
      </c>
      <c r="D111" s="18"/>
      <c r="E111" s="13">
        <f>E72</f>
        <v>2232.0956239032002</v>
      </c>
    </row>
    <row r="112" spans="2:5" x14ac:dyDescent="0.2">
      <c r="B112" s="10" t="s">
        <v>13</v>
      </c>
      <c r="C112" s="8" t="s">
        <v>110</v>
      </c>
      <c r="D112" s="18"/>
      <c r="E112" s="13">
        <f>E84</f>
        <v>657.43</v>
      </c>
    </row>
    <row r="113" spans="2:5" x14ac:dyDescent="0.2">
      <c r="B113" s="10" t="s">
        <v>15</v>
      </c>
      <c r="C113" s="8" t="s">
        <v>111</v>
      </c>
      <c r="D113" s="18"/>
      <c r="E113" s="13">
        <f>E89</f>
        <v>0</v>
      </c>
    </row>
    <row r="114" spans="2:5" x14ac:dyDescent="0.2">
      <c r="B114" s="10" t="s">
        <v>17</v>
      </c>
      <c r="C114" s="28" t="s">
        <v>112</v>
      </c>
      <c r="D114" s="18"/>
      <c r="E114" s="13">
        <f>E94</f>
        <v>2472.2060045810917</v>
      </c>
    </row>
    <row r="115" spans="2:5" x14ac:dyDescent="0.2">
      <c r="B115" s="62" t="s">
        <v>39</v>
      </c>
      <c r="C115" s="63"/>
      <c r="D115" s="29"/>
      <c r="E115" s="30">
        <f>SUM(E110:E114)</f>
        <v>8361.7316284842927</v>
      </c>
    </row>
    <row r="116" spans="2:5" x14ac:dyDescent="0.2">
      <c r="B116" s="10" t="s">
        <v>17</v>
      </c>
      <c r="C116" s="8" t="s">
        <v>113</v>
      </c>
      <c r="D116" s="18"/>
      <c r="E116" s="13">
        <f>E105</f>
        <v>791.77863805571019</v>
      </c>
    </row>
    <row r="117" spans="2:5" x14ac:dyDescent="0.2">
      <c r="B117" s="58" t="s">
        <v>114</v>
      </c>
      <c r="C117" s="58"/>
      <c r="D117" s="17"/>
      <c r="E117" s="15">
        <f>E115/D107</f>
        <v>9153.5102665400027</v>
      </c>
    </row>
    <row r="118" spans="2:5" x14ac:dyDescent="0.2">
      <c r="B118" s="58" t="s">
        <v>115</v>
      </c>
      <c r="C118" s="58"/>
      <c r="D118" s="17"/>
      <c r="E118" s="49">
        <v>35</v>
      </c>
    </row>
    <row r="119" spans="2:5" x14ac:dyDescent="0.2">
      <c r="B119" s="58" t="s">
        <v>116</v>
      </c>
      <c r="C119" s="58"/>
      <c r="D119" s="17"/>
      <c r="E119" s="15">
        <f>E117*E118</f>
        <v>320372.85932890011</v>
      </c>
    </row>
    <row r="120" spans="2:5" x14ac:dyDescent="0.2">
      <c r="B120" s="42"/>
      <c r="C120" s="55" t="s">
        <v>133</v>
      </c>
      <c r="D120" s="43"/>
      <c r="E120" s="56">
        <f>E117*12</f>
        <v>109842.12319848003</v>
      </c>
    </row>
    <row r="121" spans="2:5" x14ac:dyDescent="0.2">
      <c r="E121" s="54"/>
    </row>
    <row r="122" spans="2:5" x14ac:dyDescent="0.2">
      <c r="E122" s="54"/>
    </row>
  </sheetData>
  <mergeCells count="24">
    <mergeCell ref="B36:C36"/>
    <mergeCell ref="B2:C2"/>
    <mergeCell ref="D2:E2"/>
    <mergeCell ref="D3:E3"/>
    <mergeCell ref="D4:E4"/>
    <mergeCell ref="D5:E5"/>
    <mergeCell ref="D6:E6"/>
    <mergeCell ref="D7:E7"/>
    <mergeCell ref="D8:E8"/>
    <mergeCell ref="D10:E10"/>
    <mergeCell ref="B18:C18"/>
    <mergeCell ref="B29:C29"/>
    <mergeCell ref="B119:C119"/>
    <mergeCell ref="B41:C41"/>
    <mergeCell ref="B52:C52"/>
    <mergeCell ref="B63:C63"/>
    <mergeCell ref="B72:C72"/>
    <mergeCell ref="B84:C84"/>
    <mergeCell ref="B89:C89"/>
    <mergeCell ref="B94:C94"/>
    <mergeCell ref="B105:C105"/>
    <mergeCell ref="B115:C115"/>
    <mergeCell ref="B117:C117"/>
    <mergeCell ref="B118:C118"/>
  </mergeCells>
  <printOptions horizontalCentered="1" verticalCentered="1"/>
  <pageMargins left="0.39370078740157483" right="0.39370078740157483" top="1.1811023622047245" bottom="1.1811023622047245" header="0.31496062992125984" footer="0.31496062992125984"/>
  <pageSetup paperSize="9" scale="97" fitToHeight="4"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H26"/>
  <sheetViews>
    <sheetView showGridLines="0" tabSelected="1" zoomScale="90" zoomScaleNormal="90" workbookViewId="0">
      <selection activeCell="C11" sqref="C11"/>
    </sheetView>
  </sheetViews>
  <sheetFormatPr baseColWidth="10" defaultColWidth="9.1640625" defaultRowHeight="14" x14ac:dyDescent="0.2"/>
  <cols>
    <col min="1" max="1" width="2.33203125" style="3" customWidth="1"/>
    <col min="2" max="2" width="34.5" style="3" customWidth="1"/>
    <col min="3" max="3" width="16.6640625" style="3" customWidth="1"/>
    <col min="4" max="4" width="17.1640625" style="3" customWidth="1"/>
    <col min="5" max="5" width="13" style="3" customWidth="1"/>
    <col min="6" max="6" width="12.6640625" style="3" customWidth="1"/>
    <col min="7" max="7" width="16.1640625" style="3" customWidth="1"/>
    <col min="8" max="8" width="16.5" style="3" customWidth="1"/>
    <col min="9" max="16384" width="9.1640625" style="3"/>
  </cols>
  <sheetData>
    <row r="1" spans="2:8" ht="14.25" customHeight="1" x14ac:dyDescent="0.2"/>
    <row r="2" spans="2:8" ht="15" x14ac:dyDescent="0.2">
      <c r="B2" s="78" t="s">
        <v>117</v>
      </c>
      <c r="C2" s="78"/>
      <c r="D2" s="78"/>
      <c r="E2" s="78"/>
      <c r="F2" s="78"/>
      <c r="G2" s="78"/>
      <c r="H2" s="78"/>
    </row>
    <row r="4" spans="2:8" x14ac:dyDescent="0.2">
      <c r="B4" s="40"/>
      <c r="C4" s="40"/>
      <c r="D4" s="40"/>
    </row>
    <row r="5" spans="2:8" s="4" customFormat="1" ht="45" customHeight="1" x14ac:dyDescent="0.2">
      <c r="B5" s="7" t="s">
        <v>118</v>
      </c>
      <c r="C5" s="7" t="s">
        <v>126</v>
      </c>
      <c r="D5" s="7" t="s">
        <v>125</v>
      </c>
      <c r="E5" s="7" t="s">
        <v>119</v>
      </c>
      <c r="F5" s="7" t="s">
        <v>120</v>
      </c>
      <c r="G5" s="7" t="s">
        <v>121</v>
      </c>
      <c r="H5" s="7" t="s">
        <v>129</v>
      </c>
    </row>
    <row r="6" spans="2:8" ht="6" customHeight="1" x14ac:dyDescent="0.2">
      <c r="B6" s="41"/>
      <c r="C6" s="51"/>
      <c r="D6" s="47"/>
      <c r="E6" s="2"/>
      <c r="F6" s="2"/>
      <c r="G6" s="44"/>
      <c r="H6" s="44"/>
    </row>
    <row r="7" spans="2:8" ht="31.5" customHeight="1" x14ac:dyDescent="0.2">
      <c r="B7" s="41" t="s">
        <v>132</v>
      </c>
      <c r="C7" s="51">
        <v>3000</v>
      </c>
      <c r="D7" s="47">
        <v>35</v>
      </c>
      <c r="E7" s="2">
        <v>12</v>
      </c>
      <c r="F7" s="2" t="s">
        <v>122</v>
      </c>
      <c r="G7" s="44">
        <f>'Apoio Administrativo Nível II'!E119</f>
        <v>320372.85932890011</v>
      </c>
      <c r="H7" s="44">
        <f>G7*12</f>
        <v>3844474.3119468014</v>
      </c>
    </row>
    <row r="8" spans="2:8" ht="27" hidden="1" customHeight="1" x14ac:dyDescent="0.2">
      <c r="B8" s="41"/>
      <c r="C8" s="41"/>
      <c r="D8" s="48"/>
      <c r="E8" s="2"/>
      <c r="F8" s="2"/>
      <c r="G8" s="44"/>
      <c r="H8" s="44"/>
    </row>
    <row r="9" spans="2:8" s="5" customFormat="1" ht="15" hidden="1" x14ac:dyDescent="0.2">
      <c r="B9" s="41"/>
      <c r="C9" s="41"/>
      <c r="D9" s="48"/>
      <c r="E9" s="2"/>
      <c r="F9" s="2"/>
      <c r="G9" s="6"/>
      <c r="H9" s="44"/>
    </row>
    <row r="10" spans="2:8" ht="15" hidden="1" x14ac:dyDescent="0.2">
      <c r="B10" s="41"/>
      <c r="C10" s="41"/>
      <c r="D10" s="48"/>
      <c r="E10" s="10"/>
      <c r="F10" s="2"/>
      <c r="G10" s="45"/>
      <c r="H10" s="44"/>
    </row>
    <row r="11" spans="2:8" ht="27" customHeight="1" x14ac:dyDescent="0.2">
      <c r="B11" s="42"/>
      <c r="C11" s="43"/>
      <c r="D11" s="43"/>
      <c r="E11" s="43"/>
      <c r="F11" s="43"/>
      <c r="G11" s="50" t="s">
        <v>123</v>
      </c>
      <c r="H11" s="50">
        <f>SUM(H6:H10)</f>
        <v>3844474.3119468014</v>
      </c>
    </row>
    <row r="13" spans="2:8" ht="23.25" customHeight="1" x14ac:dyDescent="0.2"/>
    <row r="14" spans="2:8" ht="23.25" customHeight="1" x14ac:dyDescent="0.2">
      <c r="B14" s="52" t="s">
        <v>127</v>
      </c>
      <c r="C14" s="57">
        <v>0.21</v>
      </c>
    </row>
    <row r="15" spans="2:8" ht="23.25" customHeight="1" x14ac:dyDescent="0.2">
      <c r="B15" s="52" t="s">
        <v>128</v>
      </c>
      <c r="C15" s="57">
        <v>0.1734</v>
      </c>
    </row>
    <row r="16" spans="2:8" ht="23.25" customHeight="1" x14ac:dyDescent="0.2"/>
    <row r="17" spans="2:8" ht="23.25" customHeight="1" x14ac:dyDescent="0.2"/>
    <row r="18" spans="2:8" ht="23.25" customHeight="1" x14ac:dyDescent="0.2">
      <c r="E18" s="53"/>
    </row>
    <row r="26" spans="2:8" ht="75.75" customHeight="1" x14ac:dyDescent="0.2">
      <c r="B26" s="75" t="s">
        <v>124</v>
      </c>
      <c r="C26" s="76"/>
      <c r="D26" s="76"/>
      <c r="E26" s="76"/>
      <c r="F26" s="76"/>
      <c r="G26" s="76"/>
      <c r="H26" s="77"/>
    </row>
  </sheetData>
  <mergeCells count="2">
    <mergeCell ref="B26:H26"/>
    <mergeCell ref="B2:H2"/>
  </mergeCells>
  <printOptions horizontalCentered="1" verticalCentered="1"/>
  <pageMargins left="0.39370078740157483" right="0.39370078740157483" top="1.1811023622047245" bottom="1.1811023622047245" header="0.31496062992125984" footer="0.31496062992125984"/>
  <pageSetup paperSize="9" orientation="landscape" horizontalDpi="1200" verticalDpi="120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Planilhas</vt:lpstr>
      </vt:variant>
      <vt:variant>
        <vt:i4>2</vt:i4>
      </vt:variant>
      <vt:variant>
        <vt:lpstr>Intervalos Nomeados</vt:lpstr>
      </vt:variant>
      <vt:variant>
        <vt:i4>3</vt:i4>
      </vt:variant>
    </vt:vector>
  </HeadingPairs>
  <TitlesOfParts>
    <vt:vector size="5" baseType="lpstr">
      <vt:lpstr>Apoio Administrativo Nível II</vt:lpstr>
      <vt:lpstr>Proposta Comercial</vt:lpstr>
      <vt:lpstr>'Apoio Administrativo Nível II'!Area_de_impressao</vt:lpstr>
      <vt:lpstr>'Proposta Comercial'!Area_de_impressao</vt:lpstr>
      <vt:lpstr>'Apoio Administrativo Nível II'!Titulos_de_impressao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Edcarlos Alves Lima</dc:creator>
  <cp:keywords/>
  <dc:description/>
  <cp:lastModifiedBy>Bryan Klayton Braz Bomtempo</cp:lastModifiedBy>
  <cp:revision/>
  <dcterms:created xsi:type="dcterms:W3CDTF">2017-04-27T18:29:28Z</dcterms:created>
  <dcterms:modified xsi:type="dcterms:W3CDTF">2024-01-03T12:16:52Z</dcterms:modified>
  <cp:category/>
  <cp:contentStatus/>
</cp:coreProperties>
</file>